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<sst xmlns="http://schemas.openxmlformats.org/spreadsheetml/2006/main" count="120" uniqueCount="114">
  <si>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</si>
  <si>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</si>
  <si>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</si>
  <si>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</si>
  <si>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</si>
  <si>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</si>
  <si>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</si>
  <si>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</si>
  <si>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</si>
  <si>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</si>
  <si>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</si>
  <si>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</si>
  <si>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</si>
  <si>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</si>
  <si>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</si>
  <si>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</si>
  <si>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</si>
  <si>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</si>
  <si>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</si>
  <si>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</si>
  <si>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</si>
  <si>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</si>
  <si>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</si>
  <si>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</si>
  <si>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</si>
  <si>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</si>
  <si>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</si>
  <si>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</si>
  <si>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</si>
  <si>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</si>
  <si>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</si>
  <si>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</si>
  <si>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</si>
  <si>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</si>
  <si>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</si>
  <si>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</si>
  <si>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</si>
  <si>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</si>
  <si>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</si>
  <si>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</si>
  <si>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</si>
  <si>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</si>
  <si>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</si>
  <si>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</si>
  <si>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</si>
  <si>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</si>
  <si>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</si>
  <si>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</si>
  <si>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</si>
  <si>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</si>
  <si>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</si>
  <si>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</si>
  <si>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</si>
  <si>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</si>
  <si>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</si>
  <si>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</si>
  <si>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</si>
  <si>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</si>
  <si>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</si>
  <si>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</si>
  <si>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</si>
  <si>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</si>
  <si>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</si>
  <si>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</si>
  <si>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</si>
  <si>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</si>
  <si>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</si>
  <si>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</si>
  <si>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</si>
  <si>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</si>
  <si>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</si>
  <si>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</si>
  <si>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</si>
  <si>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</si>
  <si>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</si>
  <si>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</si>
  <si>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</si>
  <si>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</si>
  <si>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</si>
  <si>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</si>
  <si>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</si>
  <si>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</si>
  <si>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</si>
  <si>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</si>
  <si>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</si>
  <si>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</si>
  <si>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</si>
  <si>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</si>
  <si>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</si>
  <si>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</si>
  <si>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</si>
  <si>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</si>
  <si>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</si>
  <si>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</si>
  <si>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</si>
  <si>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</si>
  <si>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</si>
  <si>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</si>
  <si>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</si>
  <si>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</si>
  <si>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</si>
  <si>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</si>
  <si>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</si>
  <si>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</si>
  <si>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</si>
  <si>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</si>
  <si>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</si>
  <si>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</si>
  <si>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</si>
  <si>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</si>
  <si>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</si>
  <si>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6 місяців</t>
  </si>
  <si>
    <t>Залишок призначень до плану 6 місяців</t>
  </si>
  <si>
    <t>Касові видатки станом на 24.06.19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</si>
</sst>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2" fillId="0" borderId="14" xfId="112" applyNumberFormat="1" applyFont="1" applyFill="1" applyBorder="1" applyAlignment="1">
      <alignment horizontal="center"/>
      <protection/>
    </xf>
    <xf numFmtId="4" fontId="33" fillId="52" borderId="14" xfId="131" applyNumberFormat="1" applyFont="1" applyFill="1" applyBorder="1" applyAlignment="1">
      <alignment horizontal="center" vertical="center"/>
    </xf>
    <xf numFmtId="4" fontId="37" fillId="52" borderId="14" xfId="131" applyNumberFormat="1" applyFont="1" applyFill="1" applyBorder="1" applyAlignment="1">
      <alignment horizontal="center" vertical="center"/>
    </xf>
    <xf numFmtId="194" fontId="27" fillId="54" borderId="14" xfId="0" applyNumberFormat="1" applyFont="1" applyFill="1" applyBorder="1" applyAlignment="1">
      <alignment horizontal="center" vertical="center"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18" sqref="AI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3" t="s">
        <v>13</v>
      </c>
      <c r="E1" s="124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0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5" t="s">
        <v>3</v>
      </c>
      <c r="B7" s="13"/>
      <c r="C7" s="125" t="s">
        <v>0</v>
      </c>
      <c r="D7" s="105" t="s">
        <v>1</v>
      </c>
      <c r="E7" s="105" t="s">
        <v>16</v>
      </c>
      <c r="F7" s="105" t="s">
        <v>37</v>
      </c>
      <c r="G7" s="14" t="s">
        <v>38</v>
      </c>
      <c r="H7" s="118" t="s">
        <v>113</v>
      </c>
      <c r="I7" s="14" t="s">
        <v>38</v>
      </c>
      <c r="J7" s="108" t="s">
        <v>2</v>
      </c>
      <c r="K7" s="106" t="s">
        <v>111</v>
      </c>
    </row>
    <row r="8" spans="1:26" ht="39.75" customHeight="1">
      <c r="A8" s="125"/>
      <c r="B8" s="1" t="s">
        <v>17</v>
      </c>
      <c r="C8" s="125"/>
      <c r="D8" s="105"/>
      <c r="E8" s="105"/>
      <c r="F8" s="105"/>
      <c r="G8" s="49" t="s">
        <v>39</v>
      </c>
      <c r="H8" s="119"/>
      <c r="I8" s="49" t="s">
        <v>110</v>
      </c>
      <c r="J8" s="109"/>
      <c r="K8" s="107"/>
      <c r="M8" s="116" t="s">
        <v>112</v>
      </c>
      <c r="N8" s="108" t="s">
        <v>22</v>
      </c>
      <c r="O8" s="106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09"/>
      <c r="O9" s="10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10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186851323.43</v>
      </c>
      <c r="E11" s="8">
        <f>E12+E28</f>
        <v>148446387.97</v>
      </c>
      <c r="F11" s="8">
        <f>F12+F28</f>
        <v>38404935.45999999</v>
      </c>
      <c r="G11" s="8">
        <f>G12+G28</f>
        <v>38387446.95999999</v>
      </c>
      <c r="H11" s="8">
        <f>H12+H28</f>
        <v>101226294.59</v>
      </c>
      <c r="I11" s="8"/>
      <c r="J11" s="38">
        <f aca="true" t="shared" si="0" ref="J11:J19">H11/D11*100</f>
        <v>54.1747806393902</v>
      </c>
      <c r="K11" s="38">
        <f>(H11/(N11+O11+P11+Q11+R11+O28+P28+Q28+R28+S11+S28))*100</f>
        <v>96.01905828901862</v>
      </c>
      <c r="L11" s="73"/>
      <c r="M11" s="46">
        <f>N11+O11+P11+Q11+R11+S11-H12</f>
        <v>314858.3099999875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13903441.55</v>
      </c>
      <c r="T11" s="43">
        <f t="shared" si="1"/>
        <v>14496201.459999999</v>
      </c>
      <c r="U11" s="43">
        <f t="shared" si="1"/>
        <v>14634000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94473427.72</v>
      </c>
      <c r="I12" s="37"/>
      <c r="J12" s="51">
        <f t="shared" si="0"/>
        <v>63.633949191061426</v>
      </c>
      <c r="K12" s="66">
        <f>(H12/(N11+O11+P11+Q11+R11+S11))*100</f>
        <v>99.66782993639073</v>
      </c>
      <c r="L12" s="73"/>
      <c r="M12" s="42">
        <f>(N12+O12+P12+Q12+R12+S12)-(H13+H16+H17+H18+H19)</f>
        <v>4207.829999998212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</f>
        <v>8572283</v>
      </c>
      <c r="T12" s="74">
        <f>12255666+155839.28-3200000</f>
        <v>9211505.28</v>
      </c>
      <c r="U12" s="74">
        <f>12020000-3726000</f>
        <v>8294000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4629258.74+5020395.05+4492589.01+3540712.28+2997759.26+9002748.95+921058.81+3027987.76+997699.78</f>
        <v>34630209.63999999</v>
      </c>
      <c r="I13" s="17"/>
      <c r="J13" s="17">
        <f t="shared" si="0"/>
        <v>69.28470495478074</v>
      </c>
      <c r="K13" s="113">
        <f>((H13+H16+H17+H18+H19)/(N12+O12+P12+Q12+R12+S12))*100</f>
        <v>99.99155672520934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</f>
        <v>3372093.5199999996</v>
      </c>
      <c r="I16" s="17"/>
      <c r="J16" s="17">
        <f t="shared" si="0"/>
        <v>53.52529396825396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</f>
        <v>9861345.73</v>
      </c>
      <c r="I19" s="17"/>
      <c r="J19" s="17">
        <f t="shared" si="0"/>
        <v>97.01751911063013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44641166.83</v>
      </c>
      <c r="I20" s="33"/>
      <c r="J20" s="33">
        <f>H20/D20*100</f>
        <v>58.075927864301256</v>
      </c>
      <c r="K20" s="113">
        <f>(H20/(N20+O20+P20+Q20+R20+S20))*100</f>
        <v>99.30892564841668</v>
      </c>
      <c r="L20" s="73"/>
      <c r="M20" s="42">
        <f>(N20+O20+P20+Q20+R20+S20)-(H20)</f>
        <v>310650.4800000042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</f>
        <v>5284696.18</v>
      </c>
      <c r="U20" s="77">
        <f>3600000+4000000-900000-360000</f>
        <v>6340000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</f>
        <v>12485130.13</v>
      </c>
      <c r="I21" s="21"/>
      <c r="J21" s="21">
        <f aca="true" t="shared" si="5" ref="J21:J27">H21/D21*100</f>
        <v>43.78458534124391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</f>
        <v>162000</v>
      </c>
      <c r="I22" s="21"/>
      <c r="J22" s="94">
        <f t="shared" si="5"/>
        <v>10.7999784000432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</f>
        <v>1787659.94</v>
      </c>
      <c r="I23" s="21"/>
      <c r="J23" s="21">
        <f t="shared" si="5"/>
        <v>68.75609864915488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</f>
        <v>1005255.0600000002</v>
      </c>
      <c r="I24" s="21"/>
      <c r="J24" s="21">
        <f t="shared" si="5"/>
        <v>55.84750333333335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</f>
        <v>771149.1599999999</v>
      </c>
      <c r="I25" s="21"/>
      <c r="J25" s="21">
        <f t="shared" si="5"/>
        <v>17.526089390312332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</f>
        <v>27990396.57</v>
      </c>
      <c r="I27" s="21"/>
      <c r="J27" s="21">
        <f t="shared" si="5"/>
        <v>76.61359961417051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38387446.95999999</v>
      </c>
      <c r="E28" s="21"/>
      <c r="F28" s="51">
        <f>G28</f>
        <v>38387446.95999999</v>
      </c>
      <c r="G28" s="51">
        <f>SUM(G29:G80)</f>
        <v>38387446.95999999</v>
      </c>
      <c r="H28" s="51">
        <f>SUM(H29:H80)</f>
        <v>6752866.869999999</v>
      </c>
      <c r="I28" s="51"/>
      <c r="J28" s="51">
        <f>H28/D28*100</f>
        <v>17.591341453461432</v>
      </c>
      <c r="K28" s="66">
        <f>(H28/(N28+O28+P28+Q28+R28+S28))*100</f>
        <v>63.49757690754484</v>
      </c>
      <c r="L28" s="73"/>
      <c r="M28" s="47">
        <f>(N28+O28+P28+Q28+R28+S28)-H28</f>
        <v>3881974.960000001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5572277.43</v>
      </c>
      <c r="U28" s="82">
        <f t="shared" si="6"/>
        <v>6488986.44</v>
      </c>
      <c r="V28" s="82">
        <f t="shared" si="6"/>
        <v>929403</v>
      </c>
      <c r="W28" s="82">
        <f t="shared" si="6"/>
        <v>7992290.13</v>
      </c>
      <c r="X28" s="82">
        <f t="shared" si="6"/>
        <v>4066825.87</v>
      </c>
      <c r="Y28" s="82">
        <f t="shared" si="6"/>
        <v>2702822.26</v>
      </c>
      <c r="Z28" s="42">
        <f>SUM(N28:Y28)</f>
        <v>38387446.95999999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(H29/(N29+O29+P29+Q29+R29+S29))*100</f>
        <v>5.870666666666667</v>
      </c>
      <c r="L29" s="73"/>
      <c r="M29" s="42">
        <f>(N29+O29+P29+Q29+R29+S29)-H29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101">
        <f aca="true" t="shared" si="11" ref="K30:K67">(H30/(N30+O30+P30+Q30+R30+S30))*100</f>
        <v>0</v>
      </c>
      <c r="L30" s="73"/>
      <c r="M30" s="42">
        <f aca="true" t="shared" si="12" ref="M30:M67">(N30+O30+P30+Q30+R30+S30)-H30</f>
        <v>200000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>
        <v>111464.65</v>
      </c>
      <c r="I32" s="53"/>
      <c r="J32" s="17">
        <f t="shared" si="10"/>
        <v>99.52200892857142</v>
      </c>
      <c r="K32" s="101">
        <f t="shared" si="11"/>
        <v>99.52200892857142</v>
      </c>
      <c r="L32" s="73"/>
      <c r="M32" s="42">
        <f t="shared" si="12"/>
        <v>535.3500000000058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104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101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105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101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101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101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106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101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f>163736-163736</f>
        <v>0</v>
      </c>
      <c r="U37" s="83"/>
      <c r="V37" s="83"/>
      <c r="W37" s="83">
        <f>93736</f>
        <v>93736</v>
      </c>
      <c r="X37" s="83">
        <f>70000</f>
        <v>70000</v>
      </c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107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101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172000+48333-220333</f>
        <v>0</v>
      </c>
      <c r="U38" s="83">
        <f>41667</f>
        <v>41667</v>
      </c>
      <c r="V38" s="83"/>
      <c r="W38" s="83">
        <f>220333</f>
        <v>220333</v>
      </c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101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>
        <f>585000</f>
        <v>585000</v>
      </c>
      <c r="U40" s="83"/>
      <c r="V40" s="83"/>
      <c r="W40" s="83"/>
      <c r="X40" s="83">
        <f>1000000-14000-585000</f>
        <v>401000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101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101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3"/>
      <c r="I43" s="51"/>
      <c r="J43" s="84">
        <f t="shared" si="10"/>
        <v>0</v>
      </c>
      <c r="K43" s="101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400000+70000-470000</f>
        <v>0</v>
      </c>
      <c r="U43" s="83"/>
      <c r="V43" s="83"/>
      <c r="W43" s="83">
        <v>290000</v>
      </c>
      <c r="X43" s="83">
        <f>470000</f>
        <v>470000</v>
      </c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3"/>
      <c r="I44" s="51"/>
      <c r="J44" s="84">
        <f t="shared" si="10"/>
        <v>0</v>
      </c>
      <c r="K44" s="101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3"/>
      <c r="I45" s="51"/>
      <c r="J45" s="84">
        <f t="shared" si="10"/>
        <v>0</v>
      </c>
      <c r="K45" s="101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108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3"/>
      <c r="I46" s="51"/>
      <c r="J46" s="84">
        <f t="shared" si="10"/>
        <v>0</v>
      </c>
      <c r="K46" s="101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3"/>
      <c r="I47" s="51"/>
      <c r="J47" s="84">
        <f t="shared" si="10"/>
        <v>0</v>
      </c>
      <c r="K47" s="101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f>400000-400000</f>
        <v>0</v>
      </c>
      <c r="U47" s="83"/>
      <c r="V47" s="83">
        <f>171069</f>
        <v>171069</v>
      </c>
      <c r="W47" s="83">
        <f>294000+113931</f>
        <v>407931</v>
      </c>
      <c r="X47" s="83">
        <f>115000</f>
        <v>115000</v>
      </c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53">
        <f>3709</f>
        <v>3709</v>
      </c>
      <c r="I48" s="17"/>
      <c r="J48" s="17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3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f>350000-350000</f>
        <v>0</v>
      </c>
      <c r="U49" s="83"/>
      <c r="V49" s="83">
        <f>350000</f>
        <v>350000</v>
      </c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53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3"/>
      <c r="I51" s="51"/>
      <c r="J51" s="84">
        <f t="shared" si="10"/>
        <v>0</v>
      </c>
      <c r="K51" s="101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3">
        <f>77000</f>
        <v>77000</v>
      </c>
      <c r="I52" s="51"/>
      <c r="J52" s="17">
        <f t="shared" si="10"/>
        <v>5.310344827586206</v>
      </c>
      <c r="K52" s="101">
        <f t="shared" si="11"/>
        <v>66.95652173913044</v>
      </c>
      <c r="L52" s="73"/>
      <c r="M52" s="42">
        <f t="shared" si="12"/>
        <v>38000</v>
      </c>
      <c r="N52" s="83"/>
      <c r="O52" s="83"/>
      <c r="P52" s="83"/>
      <c r="Q52" s="83">
        <v>115000</v>
      </c>
      <c r="R52" s="83"/>
      <c r="S52" s="83"/>
      <c r="T52" s="83">
        <f>800000</f>
        <v>800000</v>
      </c>
      <c r="U52" s="83">
        <f>1000000-800000</f>
        <v>200000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95.08507013817325</v>
      </c>
      <c r="L53" s="73"/>
      <c r="M53" s="42">
        <f t="shared" si="12"/>
        <v>11685</v>
      </c>
      <c r="N53" s="83"/>
      <c r="O53" s="83"/>
      <c r="P53" s="83"/>
      <c r="Q53" s="83">
        <v>120000</v>
      </c>
      <c r="R53" s="83">
        <v>120000</v>
      </c>
      <c r="S53" s="83">
        <f>800000-465255-337000</f>
        <v>-2255</v>
      </c>
      <c r="T53" s="83">
        <f>465255-465000</f>
        <v>255</v>
      </c>
      <c r="U53" s="83">
        <f>700000+802000</f>
        <v>1502000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>
        <v>577020</v>
      </c>
      <c r="I55" s="53"/>
      <c r="J55" s="75">
        <f t="shared" si="10"/>
        <v>89.56556509962319</v>
      </c>
      <c r="K55" s="48">
        <f t="shared" si="11"/>
        <v>96.17</v>
      </c>
      <c r="L55" s="73"/>
      <c r="M55" s="42">
        <f t="shared" si="12"/>
        <v>22980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99.46820777279522</v>
      </c>
      <c r="L57" s="73"/>
      <c r="M57" s="42">
        <f t="shared" si="12"/>
        <v>3557.689999999944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>
        <f>-400000</f>
        <v>-400000</v>
      </c>
      <c r="T57" s="83"/>
      <c r="U57" s="83">
        <f>231020.36+31000+400000</f>
        <v>662020.36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800000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768000</v>
      </c>
      <c r="E60" s="17"/>
      <c r="F60" s="17">
        <f t="shared" si="7"/>
        <v>768000</v>
      </c>
      <c r="G60" s="17">
        <f>800000-32000</f>
        <v>768000</v>
      </c>
      <c r="H60" s="53">
        <f>48000</f>
        <v>48000</v>
      </c>
      <c r="I60" s="53"/>
      <c r="J60" s="17">
        <f t="shared" si="10"/>
        <v>6.25</v>
      </c>
      <c r="K60" s="48">
        <f t="shared" si="11"/>
        <v>80</v>
      </c>
      <c r="L60" s="73"/>
      <c r="M60" s="42">
        <f t="shared" si="12"/>
        <v>12000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f>500000-32000</f>
        <v>468000</v>
      </c>
      <c r="X60" s="85"/>
      <c r="Y60" s="85">
        <v>240000</v>
      </c>
      <c r="Z60" s="42">
        <f t="shared" si="13"/>
        <v>768000</v>
      </c>
      <c r="AA60" s="45">
        <f t="shared" si="8"/>
        <v>0</v>
      </c>
    </row>
    <row r="61" spans="1:27" ht="18">
      <c r="A61" s="26"/>
      <c r="B61" s="27"/>
      <c r="C61" s="81" t="s">
        <v>67</v>
      </c>
      <c r="D61" s="17">
        <f t="shared" si="9"/>
        <v>632000</v>
      </c>
      <c r="E61" s="17"/>
      <c r="F61" s="17">
        <f t="shared" si="7"/>
        <v>632000</v>
      </c>
      <c r="G61" s="17">
        <f>600000+32000</f>
        <v>632000</v>
      </c>
      <c r="H61" s="53">
        <f>42000</f>
        <v>42000</v>
      </c>
      <c r="I61" s="53"/>
      <c r="J61" s="17">
        <f t="shared" si="10"/>
        <v>6.645569620253164</v>
      </c>
      <c r="K61" s="48">
        <f t="shared" si="11"/>
        <v>70</v>
      </c>
      <c r="L61" s="73"/>
      <c r="M61" s="42">
        <f t="shared" si="12"/>
        <v>18000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>
        <f>32000</f>
        <v>32000</v>
      </c>
      <c r="X61" s="85">
        <v>211840</v>
      </c>
      <c r="Y61" s="85"/>
      <c r="Z61" s="42">
        <f t="shared" si="13"/>
        <v>632000</v>
      </c>
      <c r="AA61" s="45">
        <f t="shared" si="8"/>
        <v>0</v>
      </c>
    </row>
    <row r="62" spans="1:27" ht="18">
      <c r="A62" s="26"/>
      <c r="B62" s="27"/>
      <c r="C62" s="81" t="s">
        <v>68</v>
      </c>
      <c r="D62" s="17">
        <f>F62</f>
        <v>1282000</v>
      </c>
      <c r="E62" s="17"/>
      <c r="F62" s="17">
        <f>G62</f>
        <v>1282000</v>
      </c>
      <c r="G62" s="17">
        <f>1000000+282000</f>
        <v>1282000</v>
      </c>
      <c r="H62" s="53">
        <f>60000</f>
        <v>60000</v>
      </c>
      <c r="I62" s="53"/>
      <c r="J62" s="17">
        <f t="shared" si="10"/>
        <v>4.6801872074882995</v>
      </c>
      <c r="K62" s="48">
        <f t="shared" si="11"/>
        <v>42.5531914893617</v>
      </c>
      <c r="L62" s="73"/>
      <c r="M62" s="42">
        <f t="shared" si="12"/>
        <v>81000</v>
      </c>
      <c r="N62" s="85"/>
      <c r="O62" s="85"/>
      <c r="P62" s="85"/>
      <c r="Q62" s="85">
        <v>120000</v>
      </c>
      <c r="R62" s="85"/>
      <c r="S62" s="100">
        <f>21000</f>
        <v>21000</v>
      </c>
      <c r="T62" s="100"/>
      <c r="U62" s="100">
        <f>225695.87</f>
        <v>225695.87</v>
      </c>
      <c r="V62" s="100">
        <v>175000</v>
      </c>
      <c r="W62" s="100">
        <f>600000+35304.13</f>
        <v>635304.13</v>
      </c>
      <c r="X62" s="100"/>
      <c r="Y62" s="100">
        <f>280000-175000</f>
        <v>105000</v>
      </c>
      <c r="Z62" s="42">
        <f t="shared" si="13"/>
        <v>1282000</v>
      </c>
      <c r="AA62" s="45">
        <f t="shared" si="8"/>
        <v>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>
        <f>29530.54+378.63</f>
        <v>29909.170000000002</v>
      </c>
      <c r="I64" s="53"/>
      <c r="J64" s="17">
        <f t="shared" si="10"/>
        <v>99.88701866880407</v>
      </c>
      <c r="K64" s="48">
        <f t="shared" si="11"/>
        <v>99.88701866880407</v>
      </c>
      <c r="L64" s="73"/>
      <c r="M64" s="42">
        <f t="shared" si="12"/>
        <v>33.82999999999811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79.08619129825726</v>
      </c>
      <c r="L65" s="73"/>
      <c r="M65" s="42">
        <f t="shared" si="12"/>
        <v>465803.8500000001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>
        <f>43000</f>
        <v>43000</v>
      </c>
      <c r="I67" s="53"/>
      <c r="J67" s="98">
        <f t="shared" si="10"/>
        <v>3.0714285714285716</v>
      </c>
      <c r="K67" s="48">
        <f t="shared" si="11"/>
        <v>27.96838921590946</v>
      </c>
      <c r="L67" s="73"/>
      <c r="M67" s="42">
        <f t="shared" si="12"/>
        <v>110745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f>400000+846255</f>
        <v>1246255</v>
      </c>
      <c r="U67" s="85">
        <f>19000+827255-846255</f>
        <v>0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aca="true" t="shared" si="14" ref="K68:K80">(H68/(N68+O68+P68+Q68+R68))*100</f>
        <v>#DIV/0!</v>
      </c>
      <c r="L68" s="73"/>
      <c r="M68" s="42">
        <f aca="true" t="shared" si="15" ref="M68:M80">(N68+O68+P68+Q68+R68)-H68</f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6" ref="D69:D80">E69+F69</f>
        <v>0</v>
      </c>
      <c r="E69" s="21"/>
      <c r="F69" s="53">
        <f aca="true" t="shared" si="17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4"/>
        <v>#DIV/0!</v>
      </c>
      <c r="L69" s="73"/>
      <c r="M69" s="42">
        <f t="shared" si="15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6"/>
        <v>0</v>
      </c>
      <c r="E70" s="21"/>
      <c r="F70" s="53">
        <f t="shared" si="17"/>
        <v>0</v>
      </c>
      <c r="G70" s="54"/>
      <c r="H70" s="53"/>
      <c r="I70" s="53"/>
      <c r="J70" s="17" t="e">
        <f t="shared" si="10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3"/>
      <c r="H71" s="53"/>
      <c r="I71" s="53"/>
      <c r="J71" s="17" t="e">
        <f t="shared" si="10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4"/>
      <c r="H72" s="53"/>
      <c r="I72" s="53"/>
      <c r="J72" s="17" t="e">
        <f t="shared" si="10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3"/>
      <c r="H73" s="53"/>
      <c r="I73" s="53"/>
      <c r="J73" s="17" t="e">
        <f t="shared" si="10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0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0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0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0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7"/>
        <v>0</v>
      </c>
      <c r="G78" s="53"/>
      <c r="H78" s="53"/>
      <c r="I78" s="53"/>
      <c r="J78" s="17" t="e">
        <f t="shared" si="10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6"/>
        <v>0</v>
      </c>
      <c r="E79" s="21"/>
      <c r="F79" s="53">
        <f t="shared" si="17"/>
        <v>0</v>
      </c>
      <c r="G79" s="53"/>
      <c r="H79" s="53"/>
      <c r="I79" s="53"/>
      <c r="J79" s="17" t="e">
        <f t="shared" si="10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0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20" t="s">
        <v>36</v>
      </c>
      <c r="B81" s="121"/>
      <c r="C81" s="121"/>
      <c r="D81" s="121"/>
      <c r="E81" s="121"/>
      <c r="F81" s="121"/>
      <c r="G81" s="122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220735890</v>
      </c>
      <c r="E82" s="55"/>
      <c r="F82" s="8">
        <f>SUM(F83:F110)</f>
        <v>220735890</v>
      </c>
      <c r="G82" s="8">
        <f>SUM(G83:G110)</f>
        <v>220735890</v>
      </c>
      <c r="H82" s="8">
        <f>SUM(H83:H110)</f>
        <v>21312624.52</v>
      </c>
      <c r="I82" s="8"/>
      <c r="J82" s="8">
        <f aca="true" t="shared" si="18" ref="J82:J110">H82/D82*100</f>
        <v>9.655260193528111</v>
      </c>
      <c r="K82" s="8">
        <f>(H82/(N82+O82+P82+Q82+R82+S82))*100</f>
        <v>55.676536440755484</v>
      </c>
      <c r="L82" s="73"/>
      <c r="M82" s="97">
        <f>(N82+O82+P82+Q82+R82+S82)-H82</f>
        <v>16966740.330000002</v>
      </c>
      <c r="N82" s="59">
        <f aca="true" t="shared" si="19" ref="N82:Y82">SUM(N83:N110)</f>
        <v>0</v>
      </c>
      <c r="O82" s="47">
        <f t="shared" si="19"/>
        <v>150000</v>
      </c>
      <c r="P82" s="47">
        <f t="shared" si="19"/>
        <v>19400000</v>
      </c>
      <c r="Q82" s="47">
        <f t="shared" si="19"/>
        <v>2949500</v>
      </c>
      <c r="R82" s="47">
        <f t="shared" si="19"/>
        <v>10966864</v>
      </c>
      <c r="S82" s="47">
        <f t="shared" si="19"/>
        <v>4813000.85</v>
      </c>
      <c r="T82" s="47">
        <f t="shared" si="19"/>
        <v>26136200</v>
      </c>
      <c r="U82" s="47">
        <f t="shared" si="19"/>
        <v>34368600</v>
      </c>
      <c r="V82" s="47">
        <f t="shared" si="19"/>
        <v>23351600</v>
      </c>
      <c r="W82" s="47">
        <f t="shared" si="19"/>
        <v>29307000.42</v>
      </c>
      <c r="X82" s="47">
        <f t="shared" si="19"/>
        <v>46502500</v>
      </c>
      <c r="Y82" s="47">
        <f t="shared" si="19"/>
        <v>22790624.73</v>
      </c>
      <c r="Z82" s="42">
        <f t="shared" si="13"/>
        <v>220735889.99999997</v>
      </c>
      <c r="AA82" s="45">
        <f t="shared" si="8"/>
        <v>0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>
        <f>14594</f>
        <v>14594</v>
      </c>
      <c r="I83" s="54"/>
      <c r="J83" s="17">
        <f t="shared" si="18"/>
        <v>1.4594</v>
      </c>
      <c r="K83" s="95">
        <f>(H83/(N83+O83+P83+Q83+R83+S83))*100</f>
        <v>29.188</v>
      </c>
      <c r="L83" s="73"/>
      <c r="M83" s="42">
        <f>(N83+O83+P83+Q83+R83+S83)-H83</f>
        <v>35406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>
        <f>15136</f>
        <v>15136</v>
      </c>
      <c r="I84" s="54"/>
      <c r="J84" s="17">
        <f t="shared" si="18"/>
        <v>0.7568</v>
      </c>
      <c r="K84" s="95">
        <f aca="true" t="shared" si="20" ref="K84:K111">(H84/(N84+O84+P84+Q84+R84+S84))*100</f>
        <v>5.045333333333334</v>
      </c>
      <c r="L84" s="73"/>
      <c r="M84" s="42">
        <f aca="true" t="shared" si="21" ref="M84:M111">(N84+O84+P84+Q84+R84+S84)-H84</f>
        <v>284864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17613</f>
        <v>17613</v>
      </c>
      <c r="I85" s="54"/>
      <c r="J85" s="17">
        <f t="shared" si="18"/>
        <v>0.88065</v>
      </c>
      <c r="K85" s="95">
        <f t="shared" si="20"/>
        <v>5.8709999999999996</v>
      </c>
      <c r="L85" s="73"/>
      <c r="M85" s="42">
        <f t="shared" si="21"/>
        <v>282387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>
        <f>13163</f>
        <v>13163</v>
      </c>
      <c r="I86" s="54"/>
      <c r="J86" s="17">
        <f t="shared" si="18"/>
        <v>4.394991652754591</v>
      </c>
      <c r="K86" s="95">
        <f t="shared" si="20"/>
        <v>4.394991652754591</v>
      </c>
      <c r="L86" s="73"/>
      <c r="M86" s="42">
        <f t="shared" si="21"/>
        <v>286337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2" ref="D87:D110">F87</f>
        <v>1703200</v>
      </c>
      <c r="E87" s="17"/>
      <c r="F87" s="17">
        <f aca="true" t="shared" si="23" ref="F87:F110">G87</f>
        <v>1703200</v>
      </c>
      <c r="G87" s="17">
        <v>1703200</v>
      </c>
      <c r="H87" s="54">
        <f>358906.8+4423.32+206888.42</f>
        <v>570218.54</v>
      </c>
      <c r="I87" s="54"/>
      <c r="J87" s="17">
        <f t="shared" si="18"/>
        <v>33.4792472992015</v>
      </c>
      <c r="K87" s="102">
        <f t="shared" si="20"/>
        <v>47.51821166666667</v>
      </c>
      <c r="L87" s="73"/>
      <c r="M87" s="42">
        <f t="shared" si="21"/>
        <v>629781.46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>
        <f>250000</f>
        <v>250000</v>
      </c>
      <c r="I88" s="54"/>
      <c r="J88" s="17">
        <f t="shared" si="18"/>
        <v>6.25</v>
      </c>
      <c r="K88" s="102">
        <f t="shared" si="20"/>
        <v>100</v>
      </c>
      <c r="L88" s="73"/>
      <c r="M88" s="42">
        <f t="shared" si="21"/>
        <v>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22"/>
        <v>1000000</v>
      </c>
      <c r="E89" s="17"/>
      <c r="F89" s="17">
        <f t="shared" si="23"/>
        <v>1000000</v>
      </c>
      <c r="G89" s="17">
        <v>1000000</v>
      </c>
      <c r="H89" s="54">
        <f>21199</f>
        <v>21199</v>
      </c>
      <c r="I89" s="54"/>
      <c r="J89" s="98">
        <f t="shared" si="18"/>
        <v>2.1199</v>
      </c>
      <c r="K89" s="102">
        <f t="shared" si="20"/>
        <v>21.199</v>
      </c>
      <c r="L89" s="73"/>
      <c r="M89" s="42">
        <f t="shared" si="21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22"/>
        <v>20000000</v>
      </c>
      <c r="E90" s="17"/>
      <c r="F90" s="17">
        <f t="shared" si="23"/>
        <v>20000000</v>
      </c>
      <c r="G90" s="17">
        <v>20000000</v>
      </c>
      <c r="H90" s="54">
        <f>5000000+2023964+15336.5+1460849+11207.01</f>
        <v>8511356.51</v>
      </c>
      <c r="I90" s="54"/>
      <c r="J90" s="75">
        <f t="shared" si="18"/>
        <v>42.55678255</v>
      </c>
      <c r="K90" s="102">
        <f t="shared" si="20"/>
        <v>99.95545010951069</v>
      </c>
      <c r="L90" s="73"/>
      <c r="M90" s="42">
        <f t="shared" si="21"/>
        <v>3793.4900000002235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>
        <v>315150</v>
      </c>
      <c r="T90" s="87">
        <f>1000000+3000000</f>
        <v>4000000</v>
      </c>
      <c r="U90" s="87">
        <f>5000000+350000+1700000-315150</f>
        <v>6734850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22"/>
        <v>30000000</v>
      </c>
      <c r="E91" s="17"/>
      <c r="F91" s="17">
        <f t="shared" si="23"/>
        <v>30000000</v>
      </c>
      <c r="G91" s="17">
        <v>30000000</v>
      </c>
      <c r="H91" s="54">
        <f>847001.35</f>
        <v>847001.35</v>
      </c>
      <c r="I91" s="54"/>
      <c r="J91" s="75">
        <f t="shared" si="18"/>
        <v>2.8233378333333334</v>
      </c>
      <c r="K91" s="102">
        <f t="shared" si="20"/>
        <v>99.64721764705882</v>
      </c>
      <c r="L91" s="73"/>
      <c r="M91" s="42">
        <f t="shared" si="21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109</v>
      </c>
      <c r="D92" s="75">
        <f t="shared" si="22"/>
        <v>9000</v>
      </c>
      <c r="E92" s="17"/>
      <c r="F92" s="17">
        <f t="shared" si="23"/>
        <v>9000</v>
      </c>
      <c r="G92" s="17">
        <v>9000</v>
      </c>
      <c r="H92" s="54">
        <f>8836.6</f>
        <v>8836.6</v>
      </c>
      <c r="I92" s="54"/>
      <c r="J92" s="75">
        <f t="shared" si="18"/>
        <v>98.18444444444445</v>
      </c>
      <c r="K92" s="102">
        <f t="shared" si="20"/>
        <v>98.18444444444445</v>
      </c>
      <c r="L92" s="73"/>
      <c r="M92" s="42">
        <f t="shared" si="21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22"/>
        <v>1500000</v>
      </c>
      <c r="E93" s="17"/>
      <c r="F93" s="17">
        <f t="shared" si="23"/>
        <v>1500000</v>
      </c>
      <c r="G93" s="17">
        <f>2000000-500000</f>
        <v>1500000</v>
      </c>
      <c r="H93" s="54">
        <f>31471</f>
        <v>31471</v>
      </c>
      <c r="I93" s="54"/>
      <c r="J93" s="17">
        <f t="shared" si="18"/>
        <v>2.098066666666667</v>
      </c>
      <c r="K93" s="95">
        <f t="shared" si="20"/>
        <v>11.655925925925926</v>
      </c>
      <c r="L93" s="73"/>
      <c r="M93" s="42">
        <f t="shared" si="21"/>
        <v>238529</v>
      </c>
      <c r="N93" s="87"/>
      <c r="O93" s="87"/>
      <c r="P93" s="87">
        <v>100000</v>
      </c>
      <c r="Q93" s="87"/>
      <c r="R93" s="87">
        <v>400000</v>
      </c>
      <c r="S93" s="87">
        <v>-230000</v>
      </c>
      <c r="T93" s="87">
        <v>500000</v>
      </c>
      <c r="U93" s="87">
        <v>230000</v>
      </c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22"/>
        <v>33469000</v>
      </c>
      <c r="E94" s="17"/>
      <c r="F94" s="17">
        <f t="shared" si="23"/>
        <v>33469000</v>
      </c>
      <c r="G94" s="17">
        <f>40000000-5000000-1000000-531000</f>
        <v>33469000</v>
      </c>
      <c r="H94" s="54"/>
      <c r="I94" s="54"/>
      <c r="J94" s="84">
        <f t="shared" si="18"/>
        <v>0</v>
      </c>
      <c r="K94" s="95">
        <f t="shared" si="20"/>
        <v>0</v>
      </c>
      <c r="L94" s="73"/>
      <c r="M94" s="42">
        <f t="shared" si="21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104">
        <f>3000000-1000000-531000</f>
        <v>1469000</v>
      </c>
      <c r="U94" s="104"/>
      <c r="V94" s="104">
        <v>1000000</v>
      </c>
      <c r="W94" s="104"/>
      <c r="X94" s="104">
        <v>20000000</v>
      </c>
      <c r="Y94" s="104">
        <f>15478996-5000000</f>
        <v>10478996</v>
      </c>
      <c r="Z94" s="42">
        <f t="shared" si="13"/>
        <v>33469000</v>
      </c>
      <c r="AA94" s="45">
        <f aca="true" t="shared" si="24" ref="AA94:AA111">Z94-D94</f>
        <v>0</v>
      </c>
    </row>
    <row r="95" spans="1:27" s="93" customFormat="1" ht="18">
      <c r="A95" s="88"/>
      <c r="B95" s="89"/>
      <c r="C95" s="90" t="s">
        <v>82</v>
      </c>
      <c r="D95" s="75">
        <f t="shared" si="22"/>
        <v>700000</v>
      </c>
      <c r="E95" s="75"/>
      <c r="F95" s="75">
        <f t="shared" si="23"/>
        <v>700000</v>
      </c>
      <c r="G95" s="75">
        <v>700000</v>
      </c>
      <c r="H95" s="91">
        <f>13651</f>
        <v>13651</v>
      </c>
      <c r="I95" s="91"/>
      <c r="J95" s="99">
        <f t="shared" si="18"/>
        <v>1.9501428571428572</v>
      </c>
      <c r="K95" s="102">
        <f t="shared" si="20"/>
        <v>99.64233576642336</v>
      </c>
      <c r="L95" s="92"/>
      <c r="M95" s="42">
        <f t="shared" si="21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5" ref="Z95:Z111">SUM(N95:Y95)</f>
        <v>700000</v>
      </c>
      <c r="AA95" s="45">
        <f t="shared" si="24"/>
        <v>0</v>
      </c>
    </row>
    <row r="96" spans="1:27" ht="18">
      <c r="A96" s="56"/>
      <c r="B96" s="18"/>
      <c r="C96" s="81" t="s">
        <v>83</v>
      </c>
      <c r="D96" s="75">
        <f t="shared" si="22"/>
        <v>600000</v>
      </c>
      <c r="E96" s="17"/>
      <c r="F96" s="17">
        <f t="shared" si="23"/>
        <v>600000</v>
      </c>
      <c r="G96" s="17">
        <v>600000</v>
      </c>
      <c r="H96" s="54">
        <f>12968</f>
        <v>12968</v>
      </c>
      <c r="I96" s="54"/>
      <c r="J96" s="17">
        <f t="shared" si="18"/>
        <v>2.1613333333333333</v>
      </c>
      <c r="K96" s="95">
        <f t="shared" si="20"/>
        <v>99.75384615384615</v>
      </c>
      <c r="L96" s="73"/>
      <c r="M96" s="42">
        <f t="shared" si="21"/>
        <v>32</v>
      </c>
      <c r="N96" s="87"/>
      <c r="O96" s="87"/>
      <c r="P96" s="87"/>
      <c r="Q96" s="87"/>
      <c r="R96" s="87"/>
      <c r="S96" s="87">
        <f>13000</f>
        <v>13000</v>
      </c>
      <c r="T96" s="87">
        <f>300000-13000</f>
        <v>287000</v>
      </c>
      <c r="U96" s="87"/>
      <c r="V96" s="87"/>
      <c r="W96" s="87"/>
      <c r="X96" s="87">
        <v>300000</v>
      </c>
      <c r="Y96" s="87"/>
      <c r="Z96" s="42">
        <f t="shared" si="25"/>
        <v>600000</v>
      </c>
      <c r="AA96" s="45">
        <f t="shared" si="24"/>
        <v>0</v>
      </c>
    </row>
    <row r="97" spans="1:27" ht="24" customHeight="1">
      <c r="A97" s="56"/>
      <c r="B97" s="18"/>
      <c r="C97" s="81" t="s">
        <v>84</v>
      </c>
      <c r="D97" s="75">
        <f t="shared" si="22"/>
        <v>500000</v>
      </c>
      <c r="E97" s="17"/>
      <c r="F97" s="17">
        <f t="shared" si="23"/>
        <v>500000</v>
      </c>
      <c r="G97" s="17">
        <v>500000</v>
      </c>
      <c r="H97" s="54"/>
      <c r="I97" s="54"/>
      <c r="J97" s="84">
        <f t="shared" si="18"/>
        <v>0</v>
      </c>
      <c r="K97" s="95" t="e">
        <f t="shared" si="20"/>
        <v>#DIV/0!</v>
      </c>
      <c r="L97" s="73"/>
      <c r="M97" s="42">
        <f t="shared" si="21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5"/>
        <v>500000</v>
      </c>
      <c r="AA97" s="45">
        <f t="shared" si="24"/>
        <v>0</v>
      </c>
    </row>
    <row r="98" spans="1:27" ht="24" customHeight="1">
      <c r="A98" s="56"/>
      <c r="B98" s="18"/>
      <c r="C98" s="81" t="s">
        <v>85</v>
      </c>
      <c r="D98" s="75">
        <f t="shared" si="22"/>
        <v>1241860</v>
      </c>
      <c r="E98" s="17"/>
      <c r="F98" s="17">
        <f t="shared" si="23"/>
        <v>1241860</v>
      </c>
      <c r="G98" s="17">
        <v>1241860</v>
      </c>
      <c r="H98" s="54"/>
      <c r="I98" s="54"/>
      <c r="J98" s="84">
        <f t="shared" si="18"/>
        <v>0</v>
      </c>
      <c r="K98" s="95">
        <f t="shared" si="20"/>
        <v>0</v>
      </c>
      <c r="L98" s="73"/>
      <c r="M98" s="42">
        <f t="shared" si="21"/>
        <v>1028860</v>
      </c>
      <c r="N98" s="87"/>
      <c r="O98" s="87"/>
      <c r="P98" s="87">
        <v>600000</v>
      </c>
      <c r="Q98" s="87">
        <v>200000</v>
      </c>
      <c r="R98" s="87">
        <v>241860</v>
      </c>
      <c r="S98" s="87">
        <f>-13000</f>
        <v>-13000</v>
      </c>
      <c r="T98" s="87">
        <f>13000</f>
        <v>13000</v>
      </c>
      <c r="U98" s="87"/>
      <c r="V98" s="87"/>
      <c r="W98" s="87"/>
      <c r="X98" s="87">
        <v>200000</v>
      </c>
      <c r="Y98" s="87"/>
      <c r="Z98" s="42">
        <f t="shared" si="25"/>
        <v>1241860</v>
      </c>
      <c r="AA98" s="45">
        <f t="shared" si="24"/>
        <v>0</v>
      </c>
    </row>
    <row r="99" spans="1:27" ht="24" customHeight="1">
      <c r="A99" s="56"/>
      <c r="B99" s="18"/>
      <c r="C99" s="81" t="s">
        <v>86</v>
      </c>
      <c r="D99" s="75">
        <f t="shared" si="22"/>
        <v>3019770</v>
      </c>
      <c r="E99" s="17"/>
      <c r="F99" s="17">
        <f t="shared" si="23"/>
        <v>3019770</v>
      </c>
      <c r="G99" s="17">
        <f>3753010-703240-30000</f>
        <v>3019770</v>
      </c>
      <c r="H99" s="54"/>
      <c r="I99" s="54"/>
      <c r="J99" s="84">
        <f t="shared" si="18"/>
        <v>0</v>
      </c>
      <c r="K99" s="95">
        <f t="shared" si="20"/>
        <v>0</v>
      </c>
      <c r="L99" s="73"/>
      <c r="M99" s="42">
        <f t="shared" si="21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1000000-322240-30000</f>
        <v>647760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5"/>
        <v>3019770</v>
      </c>
      <c r="AA99" s="45">
        <f t="shared" si="24"/>
        <v>0</v>
      </c>
    </row>
    <row r="100" spans="1:27" ht="18">
      <c r="A100" s="56"/>
      <c r="B100" s="18"/>
      <c r="C100" s="81" t="s">
        <v>87</v>
      </c>
      <c r="D100" s="17">
        <f t="shared" si="22"/>
        <v>21323020</v>
      </c>
      <c r="E100" s="17"/>
      <c r="F100" s="17">
        <f t="shared" si="23"/>
        <v>21323020</v>
      </c>
      <c r="G100" s="17">
        <v>21323020</v>
      </c>
      <c r="H100" s="54">
        <f>2217023.25</f>
        <v>2217023.25</v>
      </c>
      <c r="I100" s="54"/>
      <c r="J100" s="98">
        <f t="shared" si="18"/>
        <v>10.397322940183894</v>
      </c>
      <c r="K100" s="102">
        <f t="shared" si="20"/>
        <v>31.733868428209494</v>
      </c>
      <c r="L100" s="73"/>
      <c r="M100" s="42">
        <f t="shared" si="21"/>
        <v>4769276.75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5"/>
        <v>21323020</v>
      </c>
      <c r="AA100" s="45">
        <f t="shared" si="24"/>
        <v>0</v>
      </c>
    </row>
    <row r="101" spans="1:27" ht="18">
      <c r="A101" s="56"/>
      <c r="B101" s="18"/>
      <c r="C101" s="81" t="s">
        <v>88</v>
      </c>
      <c r="D101" s="17">
        <f t="shared" si="22"/>
        <v>10000000</v>
      </c>
      <c r="E101" s="17"/>
      <c r="F101" s="17">
        <f t="shared" si="23"/>
        <v>10000000</v>
      </c>
      <c r="G101" s="17">
        <v>10000000</v>
      </c>
      <c r="H101" s="54">
        <f>265304</f>
        <v>265304</v>
      </c>
      <c r="I101" s="54"/>
      <c r="J101" s="99">
        <f t="shared" si="18"/>
        <v>2.65304</v>
      </c>
      <c r="K101" s="102">
        <f t="shared" si="20"/>
        <v>73.69555555555556</v>
      </c>
      <c r="L101" s="73"/>
      <c r="M101" s="42">
        <f t="shared" si="21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5"/>
        <v>10000000</v>
      </c>
      <c r="AA101" s="45">
        <f t="shared" si="24"/>
        <v>0</v>
      </c>
    </row>
    <row r="102" spans="1:27" ht="18">
      <c r="A102" s="56"/>
      <c r="B102" s="18"/>
      <c r="C102" s="81" t="s">
        <v>89</v>
      </c>
      <c r="D102" s="17">
        <f t="shared" si="22"/>
        <v>950000</v>
      </c>
      <c r="E102" s="17"/>
      <c r="F102" s="17">
        <f t="shared" si="23"/>
        <v>950000</v>
      </c>
      <c r="G102" s="17">
        <v>950000</v>
      </c>
      <c r="H102" s="54">
        <f>58555</f>
        <v>58555</v>
      </c>
      <c r="I102" s="54"/>
      <c r="J102" s="17">
        <f t="shared" si="18"/>
        <v>6.163684210526315</v>
      </c>
      <c r="K102" s="102">
        <f t="shared" si="20"/>
        <v>97.59166666666667</v>
      </c>
      <c r="L102" s="73"/>
      <c r="M102" s="42">
        <f t="shared" si="21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5"/>
        <v>950000</v>
      </c>
      <c r="AA102" s="45">
        <f t="shared" si="24"/>
        <v>0</v>
      </c>
    </row>
    <row r="103" spans="1:27" ht="18">
      <c r="A103" s="56"/>
      <c r="B103" s="18"/>
      <c r="C103" s="81" t="s">
        <v>90</v>
      </c>
      <c r="D103" s="17">
        <f t="shared" si="22"/>
        <v>36600000</v>
      </c>
      <c r="E103" s="17"/>
      <c r="F103" s="17">
        <f t="shared" si="23"/>
        <v>36600000</v>
      </c>
      <c r="G103" s="17">
        <f>37000000-400000</f>
        <v>36600000</v>
      </c>
      <c r="H103" s="54"/>
      <c r="I103" s="54"/>
      <c r="J103" s="84">
        <f t="shared" si="18"/>
        <v>0</v>
      </c>
      <c r="K103" s="95">
        <f t="shared" si="20"/>
        <v>0</v>
      </c>
      <c r="L103" s="73"/>
      <c r="M103" s="42">
        <f t="shared" si="21"/>
        <v>4938000.85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3005000+60000-400000</f>
        <v>2665000</v>
      </c>
      <c r="Y103" s="87"/>
      <c r="Z103" s="42">
        <f t="shared" si="25"/>
        <v>36600000</v>
      </c>
      <c r="AA103" s="45">
        <f t="shared" si="24"/>
        <v>0</v>
      </c>
    </row>
    <row r="104" spans="1:27" ht="18">
      <c r="A104" s="56"/>
      <c r="B104" s="18"/>
      <c r="C104" s="81" t="s">
        <v>91</v>
      </c>
      <c r="D104" s="17">
        <f t="shared" si="22"/>
        <v>18000000</v>
      </c>
      <c r="E104" s="17"/>
      <c r="F104" s="17">
        <f t="shared" si="23"/>
        <v>18000000</v>
      </c>
      <c r="G104" s="17">
        <v>18000000</v>
      </c>
      <c r="H104" s="54">
        <f>983986</f>
        <v>983986</v>
      </c>
      <c r="I104" s="54"/>
      <c r="J104" s="17">
        <f t="shared" si="18"/>
        <v>5.4665888888888885</v>
      </c>
      <c r="K104" s="102">
        <f t="shared" si="20"/>
        <v>98.3986</v>
      </c>
      <c r="L104" s="73"/>
      <c r="M104" s="42">
        <f t="shared" si="21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5"/>
        <v>18000000</v>
      </c>
      <c r="AA104" s="45">
        <f t="shared" si="24"/>
        <v>0</v>
      </c>
    </row>
    <row r="105" spans="1:27" ht="18">
      <c r="A105" s="56"/>
      <c r="B105" s="18"/>
      <c r="C105" s="81" t="s">
        <v>92</v>
      </c>
      <c r="D105" s="17">
        <f t="shared" si="22"/>
        <v>2000000</v>
      </c>
      <c r="E105" s="17"/>
      <c r="F105" s="17">
        <f t="shared" si="23"/>
        <v>2000000</v>
      </c>
      <c r="G105" s="17">
        <v>2000000</v>
      </c>
      <c r="H105" s="54"/>
      <c r="I105" s="54"/>
      <c r="J105" s="84">
        <f t="shared" si="18"/>
        <v>0</v>
      </c>
      <c r="K105" s="95">
        <f t="shared" si="20"/>
        <v>0</v>
      </c>
      <c r="L105" s="73"/>
      <c r="M105" s="42">
        <f t="shared" si="21"/>
        <v>314850</v>
      </c>
      <c r="N105" s="87"/>
      <c r="O105" s="87"/>
      <c r="P105" s="87">
        <v>100000</v>
      </c>
      <c r="Q105" s="87"/>
      <c r="R105" s="87">
        <v>300000</v>
      </c>
      <c r="S105" s="87">
        <v>-85150</v>
      </c>
      <c r="T105" s="87">
        <v>600000</v>
      </c>
      <c r="U105" s="87">
        <v>85150</v>
      </c>
      <c r="V105" s="87">
        <v>1000000</v>
      </c>
      <c r="W105" s="87"/>
      <c r="X105" s="87"/>
      <c r="Y105" s="87"/>
      <c r="Z105" s="42">
        <f t="shared" si="25"/>
        <v>2000000</v>
      </c>
      <c r="AA105" s="45">
        <f t="shared" si="24"/>
        <v>0</v>
      </c>
    </row>
    <row r="106" spans="1:27" ht="21.75" customHeight="1">
      <c r="A106" s="56"/>
      <c r="B106" s="18"/>
      <c r="C106" s="81" t="s">
        <v>96</v>
      </c>
      <c r="D106" s="17">
        <f t="shared" si="22"/>
        <v>499840</v>
      </c>
      <c r="E106" s="17"/>
      <c r="F106" s="17">
        <f t="shared" si="23"/>
        <v>499840</v>
      </c>
      <c r="G106" s="17">
        <f>703240-203400</f>
        <v>499840</v>
      </c>
      <c r="H106" s="54">
        <f>380144.4</f>
        <v>380144.4</v>
      </c>
      <c r="I106" s="54"/>
      <c r="J106" s="17">
        <f t="shared" si="18"/>
        <v>76.05321702944943</v>
      </c>
      <c r="K106" s="102">
        <f t="shared" si="20"/>
        <v>99.77543307086614</v>
      </c>
      <c r="L106" s="73"/>
      <c r="M106" s="42">
        <f t="shared" si="21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322240-203400</f>
        <v>118840</v>
      </c>
      <c r="U106" s="87"/>
      <c r="V106" s="87"/>
      <c r="W106" s="87"/>
      <c r="X106" s="87"/>
      <c r="Y106" s="87"/>
      <c r="Z106" s="42">
        <f t="shared" si="25"/>
        <v>499840</v>
      </c>
      <c r="AA106" s="45">
        <f t="shared" si="24"/>
        <v>0</v>
      </c>
    </row>
    <row r="107" spans="1:27" ht="36">
      <c r="A107" s="56"/>
      <c r="B107" s="18"/>
      <c r="C107" s="81" t="s">
        <v>93</v>
      </c>
      <c r="D107" s="17">
        <f t="shared" si="22"/>
        <v>1002780</v>
      </c>
      <c r="E107" s="17"/>
      <c r="F107" s="17">
        <f t="shared" si="23"/>
        <v>1002780</v>
      </c>
      <c r="G107" s="17">
        <f>9002780-8000000</f>
        <v>1002780</v>
      </c>
      <c r="H107" s="54">
        <f>430403.87</f>
        <v>430403.87</v>
      </c>
      <c r="I107" s="54"/>
      <c r="J107" s="17">
        <f t="shared" si="18"/>
        <v>42.92106643530984</v>
      </c>
      <c r="K107" s="95">
        <f t="shared" si="20"/>
        <v>71.73397833333334</v>
      </c>
      <c r="L107" s="73"/>
      <c r="M107" s="42">
        <f t="shared" si="21"/>
        <v>169596.13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5"/>
        <v>1002780</v>
      </c>
      <c r="AA107" s="45">
        <f t="shared" si="24"/>
        <v>0</v>
      </c>
    </row>
    <row r="108" spans="1:27" ht="36">
      <c r="A108" s="56"/>
      <c r="B108" s="18"/>
      <c r="C108" s="81" t="s">
        <v>103</v>
      </c>
      <c r="D108" s="17">
        <f t="shared" si="22"/>
        <v>4000000</v>
      </c>
      <c r="E108" s="17"/>
      <c r="F108" s="17">
        <f t="shared" si="23"/>
        <v>4000000</v>
      </c>
      <c r="G108" s="17">
        <v>4000000</v>
      </c>
      <c r="H108" s="54"/>
      <c r="I108" s="54"/>
      <c r="J108" s="84"/>
      <c r="K108" s="95" t="e">
        <f t="shared" si="20"/>
        <v>#DIV/0!</v>
      </c>
      <c r="L108" s="73"/>
      <c r="M108" s="42">
        <f t="shared" si="21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5"/>
        <v>4000000</v>
      </c>
      <c r="AA108" s="45">
        <f t="shared" si="24"/>
        <v>0</v>
      </c>
    </row>
    <row r="109" spans="1:27" ht="36">
      <c r="A109" s="56"/>
      <c r="B109" s="18"/>
      <c r="C109" s="81" t="s">
        <v>94</v>
      </c>
      <c r="D109" s="17">
        <f t="shared" si="22"/>
        <v>22317920</v>
      </c>
      <c r="E109" s="17"/>
      <c r="F109" s="17">
        <f t="shared" si="23"/>
        <v>22317920</v>
      </c>
      <c r="G109" s="17">
        <v>22317920</v>
      </c>
      <c r="H109" s="54">
        <f>1531485.6+2456653.03+7153.97+2654707.4</f>
        <v>6650000</v>
      </c>
      <c r="I109" s="54"/>
      <c r="J109" s="17">
        <f t="shared" si="18"/>
        <v>29.796683561908992</v>
      </c>
      <c r="K109" s="102">
        <f t="shared" si="20"/>
        <v>70</v>
      </c>
      <c r="L109" s="73"/>
      <c r="M109" s="42">
        <f t="shared" si="21"/>
        <v>2850000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5"/>
        <v>22317920</v>
      </c>
      <c r="AA109" s="45">
        <f t="shared" si="24"/>
        <v>0</v>
      </c>
    </row>
    <row r="110" spans="1:27" ht="18">
      <c r="A110" s="56"/>
      <c r="B110" s="18"/>
      <c r="C110" s="81" t="s">
        <v>95</v>
      </c>
      <c r="D110" s="17">
        <f t="shared" si="22"/>
        <v>1000000</v>
      </c>
      <c r="E110" s="17"/>
      <c r="F110" s="17">
        <f t="shared" si="23"/>
        <v>1000000</v>
      </c>
      <c r="G110" s="17">
        <v>1000000</v>
      </c>
      <c r="H110" s="54"/>
      <c r="I110" s="54"/>
      <c r="J110" s="84">
        <f t="shared" si="18"/>
        <v>0</v>
      </c>
      <c r="K110" s="95">
        <f t="shared" si="20"/>
        <v>0</v>
      </c>
      <c r="L110" s="73"/>
      <c r="M110" s="42">
        <f t="shared" si="21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5"/>
        <v>1000000</v>
      </c>
      <c r="AA110" s="45">
        <f t="shared" si="24"/>
        <v>0</v>
      </c>
    </row>
    <row r="111" spans="1:27" ht="18">
      <c r="A111" s="22"/>
      <c r="B111" s="6"/>
      <c r="C111" s="23" t="s">
        <v>12</v>
      </c>
      <c r="D111" s="8">
        <f>D11+D82</f>
        <v>407587213.43</v>
      </c>
      <c r="E111" s="8">
        <f>E11+E82</f>
        <v>148446387.97</v>
      </c>
      <c r="F111" s="8">
        <f>F11+F82</f>
        <v>259140825.45999998</v>
      </c>
      <c r="G111" s="8">
        <f>G11+G82</f>
        <v>259123336.95999998</v>
      </c>
      <c r="H111" s="8">
        <f>H11+H82</f>
        <v>122538919.11</v>
      </c>
      <c r="I111" s="8"/>
      <c r="J111" s="8">
        <f>H111/D111*100</f>
        <v>30.06446597742574</v>
      </c>
      <c r="K111" s="103">
        <f t="shared" si="20"/>
        <v>85.27264684078285</v>
      </c>
      <c r="L111" s="73"/>
      <c r="M111" s="47">
        <f t="shared" si="21"/>
        <v>21163573.59999998</v>
      </c>
      <c r="N111" s="47">
        <f aca="true" t="shared" si="26" ref="N111:Y111">N82+N28+N11</f>
        <v>3100000</v>
      </c>
      <c r="O111" s="47">
        <f t="shared" si="26"/>
        <v>18754577.81</v>
      </c>
      <c r="P111" s="47">
        <f t="shared" si="26"/>
        <v>30315714.619999997</v>
      </c>
      <c r="Q111" s="47">
        <f t="shared" si="26"/>
        <v>26673111.33</v>
      </c>
      <c r="R111" s="47">
        <f t="shared" si="26"/>
        <v>45258646.55</v>
      </c>
      <c r="S111" s="47">
        <f t="shared" si="26"/>
        <v>19600442.4</v>
      </c>
      <c r="T111" s="47">
        <f t="shared" si="26"/>
        <v>46204678.89</v>
      </c>
      <c r="U111" s="47">
        <f t="shared" si="26"/>
        <v>55491586.44</v>
      </c>
      <c r="V111" s="47">
        <f t="shared" si="26"/>
        <v>33800325.28</v>
      </c>
      <c r="W111" s="47">
        <f t="shared" si="26"/>
        <v>43119290.550000004</v>
      </c>
      <c r="X111" s="47">
        <f t="shared" si="26"/>
        <v>55289325.87</v>
      </c>
      <c r="Y111" s="47">
        <f t="shared" si="26"/>
        <v>29979513.69</v>
      </c>
      <c r="Z111" s="42">
        <f t="shared" si="25"/>
        <v>407587213.42999995</v>
      </c>
      <c r="AA111" s="45">
        <f t="shared" si="24"/>
        <v>0</v>
      </c>
    </row>
    <row r="112" ht="12.75">
      <c r="AA112" s="45"/>
    </row>
  </sheetData>
  <sheetProtection/>
  <mergeCells count="29">
    <mergeCell ref="K20:K27"/>
    <mergeCell ref="A81:G81"/>
    <mergeCell ref="D1:E1"/>
    <mergeCell ref="A7:A8"/>
    <mergeCell ref="C7:C8"/>
    <mergeCell ref="D7:D8"/>
    <mergeCell ref="E7:E8"/>
    <mergeCell ref="A3:J3"/>
    <mergeCell ref="A4:J4"/>
    <mergeCell ref="K7:K8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2019-06-24T13:38:30Z</dcterms:modified>
  <cp:category/>
  <cp:version/>
  <cp:contentType/>
  <cp:contentStatus/>
</cp:coreProperties>
</file>